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130" tabRatio="787" firstSheet="4" activeTab="7"/>
  </bookViews>
  <sheets>
    <sheet name="7.2" sheetId="1" r:id="rId1"/>
    <sheet name="7.2-Power" sheetId="2" r:id="rId2"/>
    <sheet name="7.6-Συναρτήσεις" sheetId="7" r:id="rId3"/>
    <sheet name="7.6-Συναρτήσεις (Λεκτικά)" sheetId="8" r:id="rId4"/>
    <sheet name="7.7-Γραφήματα" sheetId="9" r:id="rId5"/>
    <sheet name="7.8.1" sheetId="12" r:id="rId6"/>
    <sheet name="7.8.2" sheetId="13" r:id="rId7"/>
    <sheet name="Ανακεφαλαιωτικό Παράδειγμα" sheetId="14" r:id="rId8"/>
    <sheet name="Περίληψη" sheetId="11" r:id="rId9"/>
  </sheets>
  <calcPr calcId="152511"/>
</workbook>
</file>

<file path=xl/calcChain.xml><?xml version="1.0" encoding="utf-8"?>
<calcChain xmlns="http://schemas.openxmlformats.org/spreadsheetml/2006/main">
  <c r="E42" i="14"/>
  <c r="D42"/>
  <c r="C42"/>
  <c r="E40"/>
  <c r="D40"/>
  <c r="C40"/>
  <c r="E37"/>
  <c r="D37"/>
  <c r="C37"/>
  <c r="E35"/>
  <c r="D35"/>
  <c r="C35"/>
  <c r="E32"/>
  <c r="D32"/>
  <c r="C32"/>
  <c r="E30"/>
  <c r="D30"/>
  <c r="C30"/>
  <c r="C26"/>
  <c r="C24"/>
  <c r="C22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16"/>
  <c r="P3"/>
  <c r="P4"/>
  <c r="P6"/>
  <c r="P8"/>
  <c r="P9"/>
  <c r="P11"/>
  <c r="P12"/>
  <c r="P15"/>
  <c r="O17"/>
  <c r="O18"/>
  <c r="O2"/>
  <c r="P2" s="1"/>
  <c r="O3"/>
  <c r="O19"/>
  <c r="O20"/>
  <c r="O21"/>
  <c r="O4"/>
  <c r="O22"/>
  <c r="O23"/>
  <c r="O24"/>
  <c r="O25"/>
  <c r="O26"/>
  <c r="O27"/>
  <c r="O28"/>
  <c r="O29"/>
  <c r="O5"/>
  <c r="P5" s="1"/>
  <c r="O6"/>
  <c r="O7"/>
  <c r="P7" s="1"/>
  <c r="O8"/>
  <c r="O30"/>
  <c r="O9"/>
  <c r="O10"/>
  <c r="P10" s="1"/>
  <c r="O31"/>
  <c r="O32"/>
  <c r="O11"/>
  <c r="O33"/>
  <c r="O34"/>
  <c r="O35"/>
  <c r="O36"/>
  <c r="O37"/>
  <c r="O12"/>
  <c r="O13"/>
  <c r="P13" s="1"/>
  <c r="O38"/>
  <c r="O39"/>
  <c r="O40"/>
  <c r="O14"/>
  <c r="P14" s="1"/>
  <c r="O41"/>
  <c r="O42"/>
  <c r="O15"/>
  <c r="O16"/>
  <c r="G4" i="13"/>
  <c r="G5"/>
  <c r="G6"/>
  <c r="G7"/>
  <c r="G8"/>
  <c r="G9"/>
  <c r="G10"/>
  <c r="G11"/>
  <c r="G12"/>
  <c r="G3"/>
  <c r="F4"/>
  <c r="F5"/>
  <c r="F6"/>
  <c r="F7"/>
  <c r="F8"/>
  <c r="F9"/>
  <c r="F10"/>
  <c r="F11"/>
  <c r="F12"/>
  <c r="F3"/>
  <c r="E5" i="12"/>
  <c r="F5"/>
  <c r="G5"/>
  <c r="D5"/>
  <c r="F5" i="8" l="1"/>
  <c r="F6"/>
  <c r="F7"/>
  <c r="F8"/>
  <c r="F9"/>
  <c r="F4"/>
  <c r="E5"/>
  <c r="E6"/>
  <c r="E7"/>
  <c r="E8"/>
  <c r="E9"/>
  <c r="E4"/>
  <c r="E25" i="7"/>
  <c r="E24"/>
  <c r="E23"/>
  <c r="E22"/>
  <c r="E18"/>
  <c r="E17"/>
  <c r="E16"/>
  <c r="E15"/>
  <c r="G5"/>
  <c r="G6"/>
  <c r="G7"/>
  <c r="G8"/>
  <c r="G9"/>
  <c r="G10"/>
  <c r="G11"/>
  <c r="G12"/>
  <c r="G13"/>
  <c r="G4"/>
  <c r="E6" i="2"/>
  <c r="E7"/>
  <c r="E5"/>
  <c r="D6"/>
  <c r="D7"/>
  <c r="D5"/>
  <c r="E16" i="1"/>
  <c r="E15"/>
  <c r="E14"/>
  <c r="G10"/>
  <c r="G11"/>
  <c r="G9"/>
  <c r="F10"/>
  <c r="F11"/>
  <c r="F9"/>
  <c r="E10"/>
  <c r="E11"/>
  <c r="E9"/>
  <c r="I2" i="12" l="1"/>
</calcChain>
</file>

<file path=xl/sharedStrings.xml><?xml version="1.0" encoding="utf-8"?>
<sst xmlns="http://schemas.openxmlformats.org/spreadsheetml/2006/main" count="181" uniqueCount="93">
  <si>
    <t>Ένα κατάστημα παρέχει έκπτωση στα προιόντα του 35%. Αν οι τιμές των προιόντων προ ΦΠΑ (23%) και οι ποσότητες που θα αγοραστούν  είναι αυτές που απεικονίζονται στον παρακάτω πίνακα, να υπολογιστούν  α) η αξία κάθε προιόντος πρό ΦΠΑ, β) η αξία κάθε προιόντος με ΦΠΑ γ) η αξία όλων των προιόντων χωρίς ΦΠΑ,  δ) η αξία όλων των προίοντων με ΦΠΑ, ε) η αξία κάθε προιόντος μετά την έκπτωση, στ) η αξία όλων των προιόντων μετά την έκπτωση</t>
  </si>
  <si>
    <t>Ποσότητα</t>
  </si>
  <si>
    <t>Τιμή Μονάδος</t>
  </si>
  <si>
    <t>ΦΠΑ</t>
  </si>
  <si>
    <t>Έκπτωση</t>
  </si>
  <si>
    <t>Αξία χωρίς ΦΠΑ</t>
  </si>
  <si>
    <t>Αξία με ΦΠΑ</t>
  </si>
  <si>
    <t>Σύνολο χωρίς ΦΠΑ</t>
  </si>
  <si>
    <t>Σύνολο με ΦΠΑ</t>
  </si>
  <si>
    <t>Αξία με Έκπτωση</t>
  </si>
  <si>
    <t>Τελικό Σύνολο 
με Έκπτωση</t>
  </si>
  <si>
    <t xml:space="preserve">Να υπολογιστεί η δεύτερη και η τρίτη δύναμη των αριθμών 5,6,7 </t>
  </si>
  <si>
    <t>Αριθμός</t>
  </si>
  <si>
    <t>Δεύτερη Δύναμη</t>
  </si>
  <si>
    <t>Τρίτη Δύναμη</t>
  </si>
  <si>
    <t>Φοιτητής</t>
  </si>
  <si>
    <t>Ύψος</t>
  </si>
  <si>
    <t xml:space="preserve">Μαρία </t>
  </si>
  <si>
    <t>Ελένη</t>
  </si>
  <si>
    <t>Γρηγόρης</t>
  </si>
  <si>
    <t>Θάλεια</t>
  </si>
  <si>
    <t>Παναγιώτης</t>
  </si>
  <si>
    <t>Βασιλεία</t>
  </si>
  <si>
    <t>Βαγγέλης</t>
  </si>
  <si>
    <t>Ιάκωβος</t>
  </si>
  <si>
    <t>Θανάσης</t>
  </si>
  <si>
    <t>Αλεξάνδρα</t>
  </si>
  <si>
    <t>Μέση Τιμή</t>
  </si>
  <si>
    <t>Διάμεσος</t>
  </si>
  <si>
    <t>Να υπολογιστεί το μέσο ύψος των παρακάτω φοιτητών, η διάμεσος τιμή, η διακύμανση καθώς και η τυπική απόκλιση</t>
  </si>
  <si>
    <t>Διακύμανση</t>
  </si>
  <si>
    <t>Τυπική απόκλιση</t>
  </si>
  <si>
    <t>Ταξινομημένες 
μετρήσεις 
ύψους</t>
  </si>
  <si>
    <t>(Ύψος - Μέση τιμή)^2</t>
  </si>
  <si>
    <t>Να δημιουργηθούν συνοπτικές ονομασίες για τα περιεχόμενα του παρακάτω πίνακα</t>
  </si>
  <si>
    <t>Όνομα</t>
  </si>
  <si>
    <t>Επώνυμο</t>
  </si>
  <si>
    <t>Όνομα
 Πατρός</t>
  </si>
  <si>
    <t>Ευαγγελία</t>
  </si>
  <si>
    <t>Μάριος</t>
  </si>
  <si>
    <t>Ευριδίκη</t>
  </si>
  <si>
    <t>Αφροδίτη</t>
  </si>
  <si>
    <t>Ποντικίδου</t>
  </si>
  <si>
    <t>Ελευθεράκης</t>
  </si>
  <si>
    <t>Πολυχρονόπουλος</t>
  </si>
  <si>
    <t>Σταματοπούλου</t>
  </si>
  <si>
    <t>Λαλαούνη</t>
  </si>
  <si>
    <t>Αθανάσιος</t>
  </si>
  <si>
    <t>Μανούσος</t>
  </si>
  <si>
    <t>Ηλίας</t>
  </si>
  <si>
    <t>Γεώργιος</t>
  </si>
  <si>
    <t>Καληχρονιάς</t>
  </si>
  <si>
    <t>Νικόλας</t>
  </si>
  <si>
    <t>Μηνά</t>
  </si>
  <si>
    <t>ΦΤ</t>
  </si>
  <si>
    <t>5.8.2012</t>
  </si>
  <si>
    <t>17.9.2010</t>
  </si>
  <si>
    <t>Κρεατινίνη
 Ούρων</t>
  </si>
  <si>
    <t>g/24hrs</t>
  </si>
  <si>
    <t>Κρεατινίνη
 Πλάσματος</t>
  </si>
  <si>
    <t>mg/100ml</t>
  </si>
  <si>
    <t>Δείκτης 
κάθαρσης</t>
  </si>
  <si>
    <t>ml/min</t>
  </si>
  <si>
    <t>Φύλο</t>
  </si>
  <si>
    <t>Υψος</t>
  </si>
  <si>
    <t>Βάρος</t>
  </si>
  <si>
    <t>Δείκτης
 Παχυσαρκίας</t>
  </si>
  <si>
    <t>Συγκρίσιμος
Δείκτης</t>
  </si>
  <si>
    <t>Γ</t>
  </si>
  <si>
    <t>Α</t>
  </si>
  <si>
    <t>Α.Μ. Εξεταζόμενου</t>
  </si>
  <si>
    <t>Φϋλο</t>
  </si>
  <si>
    <t>[Fe] μg/dl</t>
  </si>
  <si>
    <t>ΟΣΙ μg/dl</t>
  </si>
  <si>
    <t>ΚΤ</t>
  </si>
  <si>
    <t>Χαρακτηρισμός</t>
  </si>
  <si>
    <t>Male</t>
  </si>
  <si>
    <t>Female</t>
  </si>
  <si>
    <t>Πσοστό εξεταζόμενων με Φυσιολογικές τιμές ΚΤ</t>
  </si>
  <si>
    <t>Πσοστό εξεταζόμενων με Υψηλές τιμές ΚΤ</t>
  </si>
  <si>
    <t xml:space="preserve"> </t>
  </si>
  <si>
    <t>Πσοστό εξεταζόμενων με Χαμηλές τιμές ΚΤ</t>
  </si>
  <si>
    <t xml:space="preserve">Σύνολο </t>
  </si>
  <si>
    <t>Άνδρες</t>
  </si>
  <si>
    <t>Γυναίκες</t>
  </si>
  <si>
    <t>[Fe]</t>
  </si>
  <si>
    <t>Τυπική Απόκλιση</t>
  </si>
  <si>
    <t>ΟΣΙ</t>
  </si>
  <si>
    <t>Εναλλακτική λύση</t>
  </si>
  <si>
    <t>δεν αποτελεί γενική λύση</t>
  </si>
  <si>
    <t>Συνοπτική Ονομασία
(ΜΕ λογισμό ύπαρξης κενών στο όνομα πατρός)</t>
  </si>
  <si>
    <t>Συνοπτική Ονομασία
(ΧΩΡΙΣ λογισμό ύπαρξης κενών στο όνομα πατρός)</t>
  </si>
  <si>
    <t>Σε αυτή τη γραμμή παρατηρείται το πρόβλημα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</si>
</sst>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4" applyNumberFormat="0" applyAlignment="0" applyProtection="0"/>
  </cellStyleXfs>
  <cellXfs count="48">
    <xf numFmtId="0" fontId="0" fillId="0" borderId="0" xfId="0"/>
    <xf numFmtId="0" fontId="0" fillId="0" borderId="0" xfId="0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0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3" xfId="0" applyFill="1" applyBorder="1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0" xfId="0" applyNumberFormat="1"/>
    <xf numFmtId="0" fontId="0" fillId="0" borderId="0" xfId="0" applyNumberFormat="1"/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0" xfId="0" applyFill="1" applyBorder="1"/>
    <xf numFmtId="0" fontId="0" fillId="0" borderId="0" xfId="0" applyAlignment="1">
      <alignment wrapText="1"/>
    </xf>
    <xf numFmtId="0" fontId="2" fillId="0" borderId="15" xfId="0" applyFont="1" applyFill="1" applyBorder="1"/>
    <xf numFmtId="0" fontId="2" fillId="0" borderId="16" xfId="0" applyFont="1" applyFill="1" applyBorder="1"/>
    <xf numFmtId="0" fontId="2" fillId="0" borderId="16" xfId="0" quotePrefix="1" applyFont="1" applyFill="1" applyBorder="1"/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" xfId="0" applyFont="1" applyFill="1" applyBorder="1"/>
    <xf numFmtId="0" fontId="2" fillId="0" borderId="11" xfId="0" applyFont="1" applyFill="1" applyBorder="1"/>
    <xf numFmtId="0" fontId="2" fillId="0" borderId="18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2" borderId="14" xfId="1"/>
    <xf numFmtId="0" fontId="0" fillId="3" borderId="0" xfId="0" applyFill="1" applyAlignment="1">
      <alignment horizontal="center" vertical="center"/>
    </xf>
    <xf numFmtId="0" fontId="0" fillId="4" borderId="0" xfId="0" applyFill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Calculation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'7.7-Γραφήματα'!$E$4</c:f>
              <c:strCache>
                <c:ptCount val="1"/>
                <c:pt idx="0">
                  <c:v>Ύψος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'7.7-Γραφήματα'!$D$5:$D$14</c:f>
              <c:strCache>
                <c:ptCount val="10"/>
                <c:pt idx="0">
                  <c:v>Μαρία </c:v>
                </c:pt>
                <c:pt idx="1">
                  <c:v>Ελένη</c:v>
                </c:pt>
                <c:pt idx="2">
                  <c:v>Γρηγόρης</c:v>
                </c:pt>
                <c:pt idx="3">
                  <c:v>Θάλεια</c:v>
                </c:pt>
                <c:pt idx="4">
                  <c:v>Παναγιώτης</c:v>
                </c:pt>
                <c:pt idx="5">
                  <c:v>Βασιλεία</c:v>
                </c:pt>
                <c:pt idx="6">
                  <c:v>Βαγγέλης</c:v>
                </c:pt>
                <c:pt idx="7">
                  <c:v>Ιάκωβος</c:v>
                </c:pt>
                <c:pt idx="8">
                  <c:v>Θανάσης</c:v>
                </c:pt>
                <c:pt idx="9">
                  <c:v>Αλεξάνδρα</c:v>
                </c:pt>
              </c:strCache>
            </c:strRef>
          </c:cat>
          <c:val>
            <c:numRef>
              <c:f>'7.7-Γραφήματα'!$E$5:$E$14</c:f>
              <c:numCache>
                <c:formatCode>General</c:formatCode>
                <c:ptCount val="10"/>
                <c:pt idx="0">
                  <c:v>1.54</c:v>
                </c:pt>
                <c:pt idx="1">
                  <c:v>1.55</c:v>
                </c:pt>
                <c:pt idx="2">
                  <c:v>1.74</c:v>
                </c:pt>
                <c:pt idx="3">
                  <c:v>1.67</c:v>
                </c:pt>
                <c:pt idx="4">
                  <c:v>1.79</c:v>
                </c:pt>
                <c:pt idx="5">
                  <c:v>1.72</c:v>
                </c:pt>
                <c:pt idx="6">
                  <c:v>1.68</c:v>
                </c:pt>
                <c:pt idx="7">
                  <c:v>1.84</c:v>
                </c:pt>
                <c:pt idx="8">
                  <c:v>1.65</c:v>
                </c:pt>
                <c:pt idx="9">
                  <c:v>1.55</c:v>
                </c:pt>
              </c:numCache>
            </c:numRef>
          </c:val>
        </c:ser>
        <c:dLbls/>
        <c:gapWidth val="219"/>
        <c:overlap val="-27"/>
        <c:axId val="68375680"/>
        <c:axId val="68377216"/>
      </c:barChart>
      <c:catAx>
        <c:axId val="683756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68377216"/>
        <c:crosses val="autoZero"/>
        <c:auto val="1"/>
        <c:lblAlgn val="ctr"/>
        <c:lblOffset val="100"/>
      </c:catAx>
      <c:valAx>
        <c:axId val="6837721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6837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Δείκτες</a:t>
            </a:r>
            <a:r>
              <a:rPr lang="el-GR" baseline="0"/>
              <a:t> Μάζας Σώματος</a:t>
            </a:r>
            <a:endParaRPr lang="en-US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'7.8.2'!$F$2</c:f>
              <c:strCache>
                <c:ptCount val="1"/>
                <c:pt idx="0">
                  <c:v>Δείκτης
 Παχυσαρκίας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'7.8.2'!$F$3:$F$12</c:f>
              <c:numCache>
                <c:formatCode>General</c:formatCode>
                <c:ptCount val="10"/>
                <c:pt idx="0">
                  <c:v>21.0828132906055</c:v>
                </c:pt>
                <c:pt idx="1">
                  <c:v>21.644120707596251</c:v>
                </c:pt>
                <c:pt idx="2">
                  <c:v>23.781212841854934</c:v>
                </c:pt>
                <c:pt idx="3">
                  <c:v>22.948115744558788</c:v>
                </c:pt>
                <c:pt idx="4">
                  <c:v>25.280109859242845</c:v>
                </c:pt>
                <c:pt idx="5">
                  <c:v>21.63331530557058</c:v>
                </c:pt>
                <c:pt idx="6">
                  <c:v>25.155895691609981</c:v>
                </c:pt>
                <c:pt idx="7">
                  <c:v>23.629489603024574</c:v>
                </c:pt>
                <c:pt idx="8">
                  <c:v>24.609733700642796</c:v>
                </c:pt>
                <c:pt idx="9">
                  <c:v>24.557752341311129</c:v>
                </c:pt>
              </c:numCache>
            </c:numRef>
          </c:val>
        </c:ser>
        <c:ser>
          <c:idx val="1"/>
          <c:order val="1"/>
          <c:tx>
            <c:strRef>
              <c:f>'7.8.2'!$G$2</c:f>
              <c:strCache>
                <c:ptCount val="1"/>
                <c:pt idx="0">
                  <c:v>Συγκρίσιμος
Δείκτης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'7.8.2'!$G$3:$G$12</c:f>
              <c:numCache>
                <c:formatCode>General</c:formatCode>
                <c:ptCount val="10"/>
                <c:pt idx="0">
                  <c:v>91.664405611328263</c:v>
                </c:pt>
                <c:pt idx="1">
                  <c:v>94.104872641722835</c:v>
                </c:pt>
                <c:pt idx="2">
                  <c:v>88.078566080944199</c:v>
                </c:pt>
                <c:pt idx="3">
                  <c:v>99.774416280690374</c:v>
                </c:pt>
                <c:pt idx="4">
                  <c:v>93.630036515714238</c:v>
                </c:pt>
                <c:pt idx="5">
                  <c:v>94.057892632915568</c:v>
                </c:pt>
                <c:pt idx="6">
                  <c:v>93.169984042999928</c:v>
                </c:pt>
                <c:pt idx="7">
                  <c:v>87.516628159350262</c:v>
                </c:pt>
                <c:pt idx="8">
                  <c:v>91.147161854232579</c:v>
                </c:pt>
                <c:pt idx="9">
                  <c:v>106.77283626657012</c:v>
                </c:pt>
              </c:numCache>
            </c:numRef>
          </c:val>
        </c:ser>
        <c:dLbls/>
        <c:gapWidth val="219"/>
        <c:overlap val="-27"/>
        <c:axId val="68476928"/>
        <c:axId val="68478464"/>
      </c:barChart>
      <c:catAx>
        <c:axId val="68476928"/>
        <c:scaling>
          <c:orientation val="minMax"/>
        </c:scaling>
        <c:axPos val="b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68478464"/>
        <c:crosses val="autoZero"/>
        <c:auto val="1"/>
        <c:lblAlgn val="ctr"/>
        <c:lblOffset val="100"/>
      </c:catAx>
      <c:valAx>
        <c:axId val="6847846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6847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</xdr:row>
      <xdr:rowOff>71437</xdr:rowOff>
    </xdr:from>
    <xdr:to>
      <xdr:col>13</xdr:col>
      <xdr:colOff>466725</xdr:colOff>
      <xdr:row>15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0</xdr:row>
      <xdr:rowOff>71437</xdr:rowOff>
    </xdr:from>
    <xdr:to>
      <xdr:col>15</xdr:col>
      <xdr:colOff>95250</xdr:colOff>
      <xdr:row>13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5</xdr:col>
      <xdr:colOff>66675</xdr:colOff>
      <xdr:row>18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5276850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76200</xdr:rowOff>
    </xdr:from>
    <xdr:to>
      <xdr:col>9</xdr:col>
      <xdr:colOff>504825</xdr:colOff>
      <xdr:row>7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457200"/>
          <a:ext cx="52768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zoomScale="80" zoomScaleNormal="80" workbookViewId="0">
      <selection activeCell="G22" sqref="G22"/>
    </sheetView>
  </sheetViews>
  <sheetFormatPr defaultRowHeight="15"/>
  <cols>
    <col min="3" max="3" width="10" customWidth="1"/>
    <col min="4" max="4" width="19.28515625" bestFit="1" customWidth="1"/>
    <col min="5" max="5" width="15.85546875" customWidth="1"/>
    <col min="6" max="6" width="14" customWidth="1"/>
    <col min="7" max="7" width="15.85546875" customWidth="1"/>
  </cols>
  <sheetData>
    <row r="1" spans="1:16" ht="1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6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6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6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6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.7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23" t="s">
        <v>1</v>
      </c>
      <c r="D8" s="23" t="s">
        <v>2</v>
      </c>
      <c r="E8" s="23" t="s">
        <v>5</v>
      </c>
      <c r="F8" s="23" t="s">
        <v>6</v>
      </c>
      <c r="G8" s="23" t="s">
        <v>9</v>
      </c>
      <c r="H8" s="1"/>
      <c r="I8" s="2" t="s">
        <v>3</v>
      </c>
      <c r="J8" s="3" t="s">
        <v>4</v>
      </c>
      <c r="K8" s="1"/>
      <c r="L8" s="1"/>
      <c r="M8" s="1"/>
      <c r="N8" s="1"/>
      <c r="O8" s="1"/>
      <c r="P8" s="1"/>
    </row>
    <row r="9" spans="1:16" ht="15.75" thickBot="1">
      <c r="A9" s="1"/>
      <c r="B9" s="1"/>
      <c r="C9" s="23">
        <v>10</v>
      </c>
      <c r="D9" s="23">
        <v>100</v>
      </c>
      <c r="E9" s="23">
        <f>C9*D9</f>
        <v>1000</v>
      </c>
      <c r="F9" s="23">
        <f>E9+I$9*E9/100</f>
        <v>1230</v>
      </c>
      <c r="G9" s="23">
        <f>F9-F9*J$9/100</f>
        <v>799.5</v>
      </c>
      <c r="H9" s="1"/>
      <c r="I9" s="4">
        <v>23</v>
      </c>
      <c r="J9" s="5">
        <v>35</v>
      </c>
      <c r="K9" s="1"/>
      <c r="L9" s="1"/>
      <c r="M9" s="1"/>
      <c r="N9" s="1"/>
      <c r="O9" s="1"/>
      <c r="P9" s="1"/>
    </row>
    <row r="10" spans="1:16">
      <c r="A10" s="1"/>
      <c r="B10" s="1"/>
      <c r="C10" s="23">
        <v>5</v>
      </c>
      <c r="D10" s="23">
        <v>150</v>
      </c>
      <c r="E10" s="23">
        <f t="shared" ref="E10:E11" si="0">C10*D10</f>
        <v>750</v>
      </c>
      <c r="F10" s="23">
        <f t="shared" ref="F10:F11" si="1">E10+I$9*E10/100</f>
        <v>922.5</v>
      </c>
      <c r="G10" s="23">
        <f t="shared" ref="G10:G11" si="2">F10-F10*J$9/100</f>
        <v>599.625</v>
      </c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23">
        <v>7</v>
      </c>
      <c r="D11" s="23">
        <v>90</v>
      </c>
      <c r="E11" s="23">
        <f t="shared" si="0"/>
        <v>630</v>
      </c>
      <c r="F11" s="23">
        <f t="shared" si="1"/>
        <v>774.9</v>
      </c>
      <c r="G11" s="23">
        <f t="shared" si="2"/>
        <v>503.685</v>
      </c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23" t="s">
        <v>7</v>
      </c>
      <c r="E14" s="23">
        <f>SUM(E9:E11)</f>
        <v>2380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/>
      <c r="C15" s="1"/>
      <c r="D15" s="23" t="s">
        <v>8</v>
      </c>
      <c r="E15" s="23">
        <f>SUM(F9:F11)</f>
        <v>2927.4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>
      <c r="A16" s="1"/>
      <c r="B16" s="1"/>
      <c r="C16" s="1"/>
      <c r="D16" s="24" t="s">
        <v>10</v>
      </c>
      <c r="E16" s="23">
        <f>SUM(G9:G11)</f>
        <v>1902.81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</sheetData>
  <mergeCells count="1">
    <mergeCell ref="A1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I6" sqref="I6"/>
    </sheetView>
  </sheetViews>
  <sheetFormatPr defaultRowHeight="15"/>
  <cols>
    <col min="4" max="4" width="15.85546875" bestFit="1" customWidth="1"/>
    <col min="5" max="5" width="13.140625" bestFit="1" customWidth="1"/>
  </cols>
  <sheetData>
    <row r="1" spans="1:5">
      <c r="A1" t="s">
        <v>11</v>
      </c>
    </row>
    <row r="3" spans="1:5" ht="15.75" thickBot="1"/>
    <row r="4" spans="1:5">
      <c r="C4" s="8" t="s">
        <v>12</v>
      </c>
      <c r="D4" s="9" t="s">
        <v>13</v>
      </c>
      <c r="E4" s="10" t="s">
        <v>14</v>
      </c>
    </row>
    <row r="5" spans="1:5">
      <c r="C5" s="11">
        <v>5</v>
      </c>
      <c r="D5" s="7">
        <f>C5^2</f>
        <v>25</v>
      </c>
      <c r="E5" s="12">
        <f>POWER(C5,3)</f>
        <v>125</v>
      </c>
    </row>
    <row r="6" spans="1:5">
      <c r="C6" s="11">
        <v>6</v>
      </c>
      <c r="D6" s="7">
        <f t="shared" ref="D6:D7" si="0">C6^2</f>
        <v>36</v>
      </c>
      <c r="E6" s="12">
        <f t="shared" ref="E6:E7" si="1">POWER(C6,3)</f>
        <v>216</v>
      </c>
    </row>
    <row r="7" spans="1:5" ht="15.75" thickBot="1">
      <c r="C7" s="13">
        <v>7</v>
      </c>
      <c r="D7" s="7">
        <f t="shared" si="0"/>
        <v>49</v>
      </c>
      <c r="E7" s="12">
        <f t="shared" si="1"/>
        <v>343</v>
      </c>
    </row>
    <row r="8" spans="1:5">
      <c r="C8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E26" sqref="E26"/>
    </sheetView>
  </sheetViews>
  <sheetFormatPr defaultRowHeight="15"/>
  <cols>
    <col min="4" max="4" width="15.85546875" customWidth="1"/>
    <col min="6" max="6" width="16.28515625" customWidth="1"/>
    <col min="7" max="7" width="19.5703125" customWidth="1"/>
  </cols>
  <sheetData>
    <row r="1" spans="1:7">
      <c r="A1" t="s">
        <v>29</v>
      </c>
    </row>
    <row r="2" spans="1:7" ht="15.75" thickBot="1"/>
    <row r="3" spans="1:7" s="17" customFormat="1" ht="45">
      <c r="D3" s="18" t="s">
        <v>15</v>
      </c>
      <c r="E3" s="19" t="s">
        <v>16</v>
      </c>
      <c r="F3" s="20" t="s">
        <v>32</v>
      </c>
      <c r="G3" s="19" t="s">
        <v>33</v>
      </c>
    </row>
    <row r="4" spans="1:7">
      <c r="D4" s="11" t="s">
        <v>17</v>
      </c>
      <c r="E4" s="12">
        <v>1.54</v>
      </c>
      <c r="F4" s="12">
        <v>1.54</v>
      </c>
      <c r="G4" s="12">
        <f>(E4-E$15)^2</f>
        <v>1.7689000000000003E-2</v>
      </c>
    </row>
    <row r="5" spans="1:7">
      <c r="D5" s="11" t="s">
        <v>18</v>
      </c>
      <c r="E5" s="12">
        <v>1.55</v>
      </c>
      <c r="F5" s="12">
        <v>1.55</v>
      </c>
      <c r="G5" s="12">
        <f t="shared" ref="G5:G13" si="0">(E5-E$15)^2</f>
        <v>1.5129E-2</v>
      </c>
    </row>
    <row r="6" spans="1:7">
      <c r="D6" s="11" t="s">
        <v>19</v>
      </c>
      <c r="E6" s="12">
        <v>1.74</v>
      </c>
      <c r="F6" s="12">
        <v>1.55</v>
      </c>
      <c r="G6" s="12">
        <f t="shared" si="0"/>
        <v>4.488999999999993E-3</v>
      </c>
    </row>
    <row r="7" spans="1:7">
      <c r="D7" s="11" t="s">
        <v>20</v>
      </c>
      <c r="E7" s="12">
        <v>1.67</v>
      </c>
      <c r="F7" s="12">
        <v>1.65</v>
      </c>
      <c r="G7" s="12">
        <f t="shared" si="0"/>
        <v>9.0000000000006829E-6</v>
      </c>
    </row>
    <row r="8" spans="1:7">
      <c r="D8" s="11" t="s">
        <v>21</v>
      </c>
      <c r="E8" s="12">
        <v>1.79</v>
      </c>
      <c r="F8" s="12">
        <v>1.67</v>
      </c>
      <c r="G8" s="12">
        <f t="shared" si="0"/>
        <v>1.3688999999999998E-2</v>
      </c>
    </row>
    <row r="9" spans="1:7">
      <c r="D9" s="11" t="s">
        <v>22</v>
      </c>
      <c r="E9" s="12">
        <v>1.72</v>
      </c>
      <c r="F9" s="12">
        <v>1.68</v>
      </c>
      <c r="G9" s="12">
        <f t="shared" si="0"/>
        <v>2.2089999999999935E-3</v>
      </c>
    </row>
    <row r="10" spans="1:7">
      <c r="D10" s="11" t="s">
        <v>23</v>
      </c>
      <c r="E10" s="12">
        <v>1.68</v>
      </c>
      <c r="F10" s="12">
        <v>1.72</v>
      </c>
      <c r="G10" s="12">
        <f t="shared" si="0"/>
        <v>4.8999999999998535E-5</v>
      </c>
    </row>
    <row r="11" spans="1:7">
      <c r="D11" s="11" t="s">
        <v>24</v>
      </c>
      <c r="E11" s="12">
        <v>1.84</v>
      </c>
      <c r="F11" s="12">
        <v>1.74</v>
      </c>
      <c r="G11" s="12">
        <f t="shared" si="0"/>
        <v>2.7889000000000011E-2</v>
      </c>
    </row>
    <row r="12" spans="1:7">
      <c r="D12" s="11" t="s">
        <v>25</v>
      </c>
      <c r="E12" s="12">
        <v>1.65</v>
      </c>
      <c r="F12" s="12">
        <v>1.79</v>
      </c>
      <c r="G12" s="12">
        <f t="shared" si="0"/>
        <v>5.2900000000000603E-4</v>
      </c>
    </row>
    <row r="13" spans="1:7" ht="15.75" thickBot="1">
      <c r="D13" s="13" t="s">
        <v>26</v>
      </c>
      <c r="E13" s="14">
        <v>1.55</v>
      </c>
      <c r="F13" s="14">
        <v>1.84</v>
      </c>
      <c r="G13" s="12">
        <f t="shared" si="0"/>
        <v>1.5129E-2</v>
      </c>
    </row>
    <row r="14" spans="1:7" ht="15.75" thickBot="1">
      <c r="D14" s="6"/>
      <c r="E14" s="6"/>
      <c r="F14" s="6"/>
      <c r="G14" s="6"/>
    </row>
    <row r="15" spans="1:7" ht="16.5" thickTop="1" thickBot="1">
      <c r="D15" s="15" t="s">
        <v>27</v>
      </c>
      <c r="E15" s="15">
        <f>AVERAGE(E4:E13)</f>
        <v>1.673</v>
      </c>
    </row>
    <row r="16" spans="1:7" ht="16.5" thickTop="1" thickBot="1">
      <c r="D16" s="16" t="s">
        <v>28</v>
      </c>
      <c r="E16" s="15">
        <f>MEDIAN(E4:E13)</f>
        <v>1.6749999999999998</v>
      </c>
    </row>
    <row r="17" spans="4:6" ht="16.5" thickTop="1" thickBot="1">
      <c r="D17" s="16" t="s">
        <v>30</v>
      </c>
      <c r="E17" s="15">
        <f>VAR(E4:E13)</f>
        <v>1.0756666666666668E-2</v>
      </c>
    </row>
    <row r="18" spans="4:6" ht="16.5" thickTop="1" thickBot="1">
      <c r="D18" s="16" t="s">
        <v>31</v>
      </c>
      <c r="E18" s="15">
        <f>STDEV(E4:E13)</f>
        <v>0.10371435130523966</v>
      </c>
    </row>
    <row r="19" spans="4:6" ht="15.75" thickTop="1"/>
    <row r="20" spans="4:6">
      <c r="D20" t="s">
        <v>88</v>
      </c>
    </row>
    <row r="21" spans="4:6" ht="15.75" thickBot="1"/>
    <row r="22" spans="4:6" ht="16.5" thickTop="1" thickBot="1">
      <c r="D22" s="15" t="s">
        <v>27</v>
      </c>
      <c r="E22" s="15">
        <f>SUM(E4:E13)/COUNT(E4:E13)</f>
        <v>1.673</v>
      </c>
    </row>
    <row r="23" spans="4:6" ht="16.5" thickTop="1" thickBot="1">
      <c r="D23" s="16" t="s">
        <v>28</v>
      </c>
      <c r="E23" s="15">
        <f>(F8+F9)/2</f>
        <v>1.6749999999999998</v>
      </c>
      <c r="F23" t="s">
        <v>89</v>
      </c>
    </row>
    <row r="24" spans="4:6" ht="16.5" thickTop="1" thickBot="1">
      <c r="D24" s="16" t="s">
        <v>30</v>
      </c>
      <c r="E24" s="15">
        <f>SUM(G4:G13)/(COUNT(G4:G13)-1)</f>
        <v>1.0756666666666668E-2</v>
      </c>
    </row>
    <row r="25" spans="4:6" ht="16.5" thickTop="1" thickBot="1">
      <c r="D25" s="16" t="s">
        <v>31</v>
      </c>
      <c r="E25" s="15">
        <f>SQRT(E24)</f>
        <v>0.10371435130523966</v>
      </c>
    </row>
    <row r="26" spans="4:6" ht="15.75" thickTop="1"/>
  </sheetData>
  <sortState ref="F4:F13">
    <sortCondition ref="F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9"/>
  <sheetViews>
    <sheetView topLeftCell="B1" workbookViewId="0">
      <selection activeCell="H13" sqref="H13"/>
    </sheetView>
  </sheetViews>
  <sheetFormatPr defaultRowHeight="15"/>
  <cols>
    <col min="2" max="2" width="11.7109375" bestFit="1" customWidth="1"/>
    <col min="3" max="3" width="17.5703125" bestFit="1" customWidth="1"/>
    <col min="4" max="4" width="10.7109375" bestFit="1" customWidth="1"/>
    <col min="5" max="5" width="29.7109375" customWidth="1"/>
    <col min="6" max="6" width="25.140625" customWidth="1"/>
  </cols>
  <sheetData>
    <row r="1" spans="1:8">
      <c r="A1" t="s">
        <v>34</v>
      </c>
    </row>
    <row r="3" spans="1:8" ht="60.75" customHeight="1">
      <c r="B3" s="44" t="s">
        <v>35</v>
      </c>
      <c r="C3" s="44" t="s">
        <v>36</v>
      </c>
      <c r="D3" s="45" t="s">
        <v>37</v>
      </c>
      <c r="E3" s="45" t="s">
        <v>91</v>
      </c>
      <c r="F3" s="45" t="s">
        <v>90</v>
      </c>
    </row>
    <row r="4" spans="1:8">
      <c r="B4" s="21" t="s">
        <v>52</v>
      </c>
      <c r="C4" s="21" t="s">
        <v>51</v>
      </c>
      <c r="D4" s="21" t="s">
        <v>53</v>
      </c>
      <c r="E4" s="22" t="str">
        <f>LEFT(B4,1)&amp;". "&amp;LEFT(D4,1)&amp;". "&amp;C4</f>
        <v>Ν. Μ. Καληχρονιάς</v>
      </c>
      <c r="F4" s="22" t="str">
        <f>IF(LEN(D4)&gt;0,LEFT(B4,1)&amp;". "&amp;LEFT(D4,1)&amp;". "&amp;C4,LEFT(B4,1)&amp;". "&amp;C4)</f>
        <v>Ν. Μ. Καληχρονιάς</v>
      </c>
    </row>
    <row r="5" spans="1:8">
      <c r="B5" s="21" t="s">
        <v>38</v>
      </c>
      <c r="C5" s="21" t="s">
        <v>42</v>
      </c>
      <c r="D5" s="21" t="s">
        <v>47</v>
      </c>
      <c r="E5" s="22" t="str">
        <f t="shared" ref="E5:E9" si="0">LEFT(B5,1)&amp;". "&amp;LEFT(D5,1)&amp;". "&amp;C5</f>
        <v>Ε. Α. Ποντικίδου</v>
      </c>
      <c r="F5" s="22" t="str">
        <f t="shared" ref="F5:F9" si="1">IF(LEN(D5)&gt;0,LEFT(B5,1)&amp;". "&amp;LEFT(D5,1)&amp;". "&amp;C5,LEFT(B5,1)&amp;". "&amp;C5)</f>
        <v>Ε. Α. Ποντικίδου</v>
      </c>
    </row>
    <row r="6" spans="1:8">
      <c r="B6" s="21" t="s">
        <v>39</v>
      </c>
      <c r="C6" s="21" t="s">
        <v>43</v>
      </c>
      <c r="D6" s="21" t="s">
        <v>48</v>
      </c>
      <c r="E6" s="22" t="str">
        <f t="shared" si="0"/>
        <v>Μ. Μ. Ελευθεράκης</v>
      </c>
      <c r="F6" s="22" t="str">
        <f t="shared" si="1"/>
        <v>Μ. Μ. Ελευθεράκης</v>
      </c>
    </row>
    <row r="7" spans="1:8">
      <c r="B7" s="21" t="s">
        <v>21</v>
      </c>
      <c r="C7" s="21" t="s">
        <v>44</v>
      </c>
      <c r="D7" s="21"/>
      <c r="E7" s="22" t="str">
        <f t="shared" si="0"/>
        <v>Π. . Πολυχρονόπουλος</v>
      </c>
      <c r="F7" s="22" t="str">
        <f t="shared" si="1"/>
        <v>Π. Πολυχρονόπουλος</v>
      </c>
      <c r="H7" t="s">
        <v>92</v>
      </c>
    </row>
    <row r="8" spans="1:8">
      <c r="B8" s="21" t="s">
        <v>40</v>
      </c>
      <c r="C8" s="21" t="s">
        <v>45</v>
      </c>
      <c r="D8" s="21" t="s">
        <v>49</v>
      </c>
      <c r="E8" s="22" t="str">
        <f t="shared" si="0"/>
        <v>Ε. Η. Σταματοπούλου</v>
      </c>
      <c r="F8" s="22" t="str">
        <f t="shared" si="1"/>
        <v>Ε. Η. Σταματοπούλου</v>
      </c>
    </row>
    <row r="9" spans="1:8">
      <c r="B9" s="21" t="s">
        <v>41</v>
      </c>
      <c r="C9" s="21" t="s">
        <v>46</v>
      </c>
      <c r="D9" s="21" t="s">
        <v>50</v>
      </c>
      <c r="E9" s="22" t="str">
        <f t="shared" si="0"/>
        <v>Α. Γ. Λαλαούνη</v>
      </c>
      <c r="F9" s="22" t="str">
        <f t="shared" si="1"/>
        <v>Α. Γ. Λαλαούνη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D3:E14"/>
  <sheetViews>
    <sheetView workbookViewId="0">
      <selection activeCell="P12" sqref="P12"/>
    </sheetView>
  </sheetViews>
  <sheetFormatPr defaultRowHeight="15"/>
  <sheetData>
    <row r="3" spans="4:5" ht="15.75" thickBot="1"/>
    <row r="4" spans="4:5">
      <c r="D4" s="18" t="s">
        <v>15</v>
      </c>
      <c r="E4" s="19" t="s">
        <v>16</v>
      </c>
    </row>
    <row r="5" spans="4:5">
      <c r="D5" s="11" t="s">
        <v>17</v>
      </c>
      <c r="E5" s="12">
        <v>1.54</v>
      </c>
    </row>
    <row r="6" spans="4:5">
      <c r="D6" s="11" t="s">
        <v>18</v>
      </c>
      <c r="E6" s="12">
        <v>1.55</v>
      </c>
    </row>
    <row r="7" spans="4:5">
      <c r="D7" s="11" t="s">
        <v>19</v>
      </c>
      <c r="E7" s="12">
        <v>1.74</v>
      </c>
    </row>
    <row r="8" spans="4:5">
      <c r="D8" s="11" t="s">
        <v>20</v>
      </c>
      <c r="E8" s="12">
        <v>1.67</v>
      </c>
    </row>
    <row r="9" spans="4:5">
      <c r="D9" s="11" t="s">
        <v>21</v>
      </c>
      <c r="E9" s="12">
        <v>1.79</v>
      </c>
    </row>
    <row r="10" spans="4:5">
      <c r="D10" s="11" t="s">
        <v>22</v>
      </c>
      <c r="E10" s="12">
        <v>1.72</v>
      </c>
    </row>
    <row r="11" spans="4:5">
      <c r="D11" s="11" t="s">
        <v>23</v>
      </c>
      <c r="E11" s="12">
        <v>1.68</v>
      </c>
    </row>
    <row r="12" spans="4:5">
      <c r="D12" s="11" t="s">
        <v>24</v>
      </c>
      <c r="E12" s="12">
        <v>1.84</v>
      </c>
    </row>
    <row r="13" spans="4:5">
      <c r="D13" s="11" t="s">
        <v>25</v>
      </c>
      <c r="E13" s="12">
        <v>1.65</v>
      </c>
    </row>
    <row r="14" spans="4:5" ht="15.75" thickBot="1">
      <c r="D14" s="13" t="s">
        <v>26</v>
      </c>
      <c r="E14" s="14">
        <v>1.55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I5"/>
  <sheetViews>
    <sheetView workbookViewId="0">
      <selection activeCell="D5" sqref="D5:G5"/>
    </sheetView>
  </sheetViews>
  <sheetFormatPr defaultRowHeight="15"/>
  <cols>
    <col min="2" max="2" width="17" customWidth="1"/>
    <col min="3" max="3" width="13.140625" customWidth="1"/>
  </cols>
  <sheetData>
    <row r="2" spans="2:9">
      <c r="D2" t="s">
        <v>54</v>
      </c>
      <c r="E2" t="s">
        <v>55</v>
      </c>
      <c r="F2" t="s">
        <v>56</v>
      </c>
      <c r="G2" t="s">
        <v>54</v>
      </c>
      <c r="I2">
        <f>1440</f>
        <v>1440</v>
      </c>
    </row>
    <row r="3" spans="2:9" ht="35.25" customHeight="1">
      <c r="B3" s="26" t="s">
        <v>57</v>
      </c>
      <c r="C3" s="17" t="s">
        <v>58</v>
      </c>
      <c r="D3">
        <v>1.5</v>
      </c>
      <c r="E3">
        <v>2.14</v>
      </c>
      <c r="F3">
        <v>1.32</v>
      </c>
      <c r="G3">
        <v>1.5</v>
      </c>
    </row>
    <row r="4" spans="2:9" ht="38.25" customHeight="1">
      <c r="B4" s="26" t="s">
        <v>59</v>
      </c>
      <c r="C4" s="17" t="s">
        <v>60</v>
      </c>
      <c r="D4">
        <v>1</v>
      </c>
      <c r="E4">
        <v>2.2000000000000002</v>
      </c>
      <c r="F4">
        <v>1.7</v>
      </c>
      <c r="G4">
        <v>1</v>
      </c>
    </row>
    <row r="5" spans="2:9" ht="33" customHeight="1">
      <c r="B5" s="26" t="s">
        <v>61</v>
      </c>
      <c r="C5" s="17" t="s">
        <v>62</v>
      </c>
      <c r="D5">
        <f>D3*10^5/(D4*$I2)</f>
        <v>104.16666666666667</v>
      </c>
      <c r="E5">
        <f t="shared" ref="E5:G5" si="0">E3*10^5/(E4*$I2)</f>
        <v>67.550505050505038</v>
      </c>
      <c r="F5">
        <f t="shared" si="0"/>
        <v>53.921568627450981</v>
      </c>
      <c r="G5">
        <f t="shared" si="0"/>
        <v>104.16666666666667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G12"/>
  <sheetViews>
    <sheetView workbookViewId="0">
      <selection activeCell="S18" sqref="S18"/>
    </sheetView>
  </sheetViews>
  <sheetFormatPr defaultRowHeight="15"/>
  <cols>
    <col min="6" max="6" width="13" customWidth="1"/>
    <col min="7" max="7" width="12.140625" customWidth="1"/>
  </cols>
  <sheetData>
    <row r="1" spans="2:7" ht="15.75" thickBot="1"/>
    <row r="2" spans="2:7" ht="29.25" customHeight="1" thickBot="1">
      <c r="B2" s="27" t="s">
        <v>15</v>
      </c>
      <c r="C2" s="28" t="s">
        <v>63</v>
      </c>
      <c r="D2" s="29" t="s">
        <v>64</v>
      </c>
      <c r="E2" s="28" t="s">
        <v>65</v>
      </c>
      <c r="F2" s="30" t="s">
        <v>66</v>
      </c>
      <c r="G2" s="31" t="s">
        <v>67</v>
      </c>
    </row>
    <row r="3" spans="2:7" ht="15.75" thickBot="1">
      <c r="B3" s="32" t="s">
        <v>17</v>
      </c>
      <c r="C3" s="33" t="s">
        <v>68</v>
      </c>
      <c r="D3" s="33">
        <v>1.54</v>
      </c>
      <c r="E3" s="33">
        <v>50</v>
      </c>
      <c r="F3" s="33">
        <f>E3/(D3^2)</f>
        <v>21.0828132906055</v>
      </c>
      <c r="G3" s="34">
        <f>IF(C3="Γ",F3*100/23,F3*100/27)</f>
        <v>91.664405611328263</v>
      </c>
    </row>
    <row r="4" spans="2:7" ht="15.75" thickBot="1">
      <c r="B4" s="35" t="s">
        <v>18</v>
      </c>
      <c r="C4" s="36" t="s">
        <v>68</v>
      </c>
      <c r="D4" s="36">
        <v>1.55</v>
      </c>
      <c r="E4" s="36">
        <v>52</v>
      </c>
      <c r="F4" s="33">
        <f t="shared" ref="F4:F12" si="0">E4/(D4^2)</f>
        <v>21.644120707596251</v>
      </c>
      <c r="G4" s="34">
        <f t="shared" ref="G4:G12" si="1">IF(C4="Γ",F4*100/23,F4*100/27)</f>
        <v>94.104872641722835</v>
      </c>
    </row>
    <row r="5" spans="2:7" ht="15.75" thickBot="1">
      <c r="B5" s="35" t="s">
        <v>19</v>
      </c>
      <c r="C5" s="36" t="s">
        <v>69</v>
      </c>
      <c r="D5" s="36">
        <v>1.74</v>
      </c>
      <c r="E5" s="36">
        <v>72</v>
      </c>
      <c r="F5" s="33">
        <f t="shared" si="0"/>
        <v>23.781212841854934</v>
      </c>
      <c r="G5" s="34">
        <f t="shared" si="1"/>
        <v>88.078566080944199</v>
      </c>
    </row>
    <row r="6" spans="2:7" ht="15.75" thickBot="1">
      <c r="B6" s="35" t="s">
        <v>20</v>
      </c>
      <c r="C6" s="36" t="s">
        <v>68</v>
      </c>
      <c r="D6" s="36">
        <v>1.67</v>
      </c>
      <c r="E6" s="36">
        <v>64</v>
      </c>
      <c r="F6" s="33">
        <f t="shared" si="0"/>
        <v>22.948115744558788</v>
      </c>
      <c r="G6" s="34">
        <f t="shared" si="1"/>
        <v>99.774416280690374</v>
      </c>
    </row>
    <row r="7" spans="2:7" ht="15.75" thickBot="1">
      <c r="B7" s="35" t="s">
        <v>21</v>
      </c>
      <c r="C7" s="36" t="s">
        <v>69</v>
      </c>
      <c r="D7" s="36">
        <v>1.79</v>
      </c>
      <c r="E7" s="36">
        <v>81</v>
      </c>
      <c r="F7" s="33">
        <f t="shared" si="0"/>
        <v>25.280109859242845</v>
      </c>
      <c r="G7" s="34">
        <f t="shared" si="1"/>
        <v>93.630036515714238</v>
      </c>
    </row>
    <row r="8" spans="2:7" ht="15.75" thickBot="1">
      <c r="B8" s="35" t="s">
        <v>22</v>
      </c>
      <c r="C8" s="36" t="s">
        <v>68</v>
      </c>
      <c r="D8" s="36">
        <v>1.72</v>
      </c>
      <c r="E8" s="36">
        <v>64</v>
      </c>
      <c r="F8" s="33">
        <f t="shared" si="0"/>
        <v>21.63331530557058</v>
      </c>
      <c r="G8" s="34">
        <f t="shared" si="1"/>
        <v>94.057892632915568</v>
      </c>
    </row>
    <row r="9" spans="2:7" ht="15.75" thickBot="1">
      <c r="B9" s="35" t="s">
        <v>23</v>
      </c>
      <c r="C9" s="36" t="s">
        <v>69</v>
      </c>
      <c r="D9" s="36">
        <v>1.68</v>
      </c>
      <c r="E9" s="36">
        <v>71</v>
      </c>
      <c r="F9" s="33">
        <f t="shared" si="0"/>
        <v>25.155895691609981</v>
      </c>
      <c r="G9" s="34">
        <f t="shared" si="1"/>
        <v>93.169984042999928</v>
      </c>
    </row>
    <row r="10" spans="2:7" ht="15.75" thickBot="1">
      <c r="B10" s="35" t="s">
        <v>24</v>
      </c>
      <c r="C10" s="36" t="s">
        <v>69</v>
      </c>
      <c r="D10" s="36">
        <v>1.84</v>
      </c>
      <c r="E10" s="36">
        <v>80</v>
      </c>
      <c r="F10" s="33">
        <f t="shared" si="0"/>
        <v>23.629489603024574</v>
      </c>
      <c r="G10" s="34">
        <f t="shared" si="1"/>
        <v>87.516628159350262</v>
      </c>
    </row>
    <row r="11" spans="2:7" ht="15.75" thickBot="1">
      <c r="B11" s="35" t="s">
        <v>25</v>
      </c>
      <c r="C11" s="36" t="s">
        <v>69</v>
      </c>
      <c r="D11" s="36">
        <v>1.65</v>
      </c>
      <c r="E11" s="36">
        <v>67</v>
      </c>
      <c r="F11" s="33">
        <f t="shared" si="0"/>
        <v>24.609733700642796</v>
      </c>
      <c r="G11" s="34">
        <f t="shared" si="1"/>
        <v>91.147161854232579</v>
      </c>
    </row>
    <row r="12" spans="2:7" ht="15.75" thickBot="1">
      <c r="B12" s="37" t="s">
        <v>26</v>
      </c>
      <c r="C12" s="38" t="s">
        <v>68</v>
      </c>
      <c r="D12" s="38">
        <v>1.55</v>
      </c>
      <c r="E12" s="38">
        <v>59</v>
      </c>
      <c r="F12" s="33">
        <f t="shared" si="0"/>
        <v>24.557752341311129</v>
      </c>
      <c r="G12" s="34">
        <f t="shared" si="1"/>
        <v>106.77283626657012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2"/>
  <sheetViews>
    <sheetView tabSelected="1" workbookViewId="0">
      <selection activeCell="E43" sqref="E43"/>
    </sheetView>
  </sheetViews>
  <sheetFormatPr defaultRowHeight="15"/>
  <cols>
    <col min="1" max="1" width="9.85546875" customWidth="1"/>
    <col min="2" max="2" width="44.28515625" bestFit="1" customWidth="1"/>
    <col min="5" max="5" width="8.7109375" bestFit="1" customWidth="1"/>
    <col min="11" max="11" width="19.140625" customWidth="1"/>
    <col min="13" max="13" width="11.5703125" customWidth="1"/>
    <col min="16" max="16" width="18.140625" customWidth="1"/>
  </cols>
  <sheetData>
    <row r="1" spans="1:16">
      <c r="A1" s="47"/>
      <c r="B1" s="47"/>
      <c r="C1" s="47"/>
      <c r="D1" s="47"/>
      <c r="E1" s="47"/>
      <c r="F1" s="47"/>
      <c r="G1" s="39"/>
      <c r="H1" s="39"/>
      <c r="I1" s="39"/>
      <c r="K1" s="40" t="s">
        <v>70</v>
      </c>
      <c r="L1" s="40" t="s">
        <v>71</v>
      </c>
      <c r="M1" s="40" t="s">
        <v>72</v>
      </c>
      <c r="N1" s="40" t="s">
        <v>73</v>
      </c>
      <c r="O1" s="40" t="s">
        <v>74</v>
      </c>
      <c r="P1" s="40" t="s">
        <v>75</v>
      </c>
    </row>
    <row r="2" spans="1:16">
      <c r="A2" s="47"/>
      <c r="B2" s="47"/>
      <c r="C2" s="47"/>
      <c r="D2" s="47"/>
      <c r="E2" s="47"/>
      <c r="F2" s="47"/>
      <c r="G2" s="39"/>
      <c r="H2" s="39"/>
      <c r="I2" s="39"/>
      <c r="K2">
        <v>11357</v>
      </c>
      <c r="L2" t="s">
        <v>77</v>
      </c>
      <c r="M2">
        <v>109</v>
      </c>
      <c r="N2">
        <v>358</v>
      </c>
      <c r="O2">
        <f t="shared" ref="O2:O42" si="0">(M2/N2)*100</f>
        <v>30.446927374301673</v>
      </c>
      <c r="P2" t="str">
        <f t="shared" ref="P2:P15" si="1">IF(O2&gt;50,"Υψηλός",IF(O2&lt;15,"Χαμηλός","Φυσιολογικός"))</f>
        <v>Φυσιολογικός</v>
      </c>
    </row>
    <row r="3" spans="1:16">
      <c r="A3" s="47"/>
      <c r="B3" s="47"/>
      <c r="C3" s="47"/>
      <c r="D3" s="47"/>
      <c r="E3" s="47"/>
      <c r="F3" s="47"/>
      <c r="G3" s="39"/>
      <c r="H3" s="39"/>
      <c r="I3" s="39"/>
      <c r="K3">
        <v>12099</v>
      </c>
      <c r="L3" t="s">
        <v>77</v>
      </c>
      <c r="M3">
        <v>84</v>
      </c>
      <c r="N3">
        <v>382</v>
      </c>
      <c r="O3">
        <f t="shared" si="0"/>
        <v>21.98952879581152</v>
      </c>
      <c r="P3" t="str">
        <f t="shared" si="1"/>
        <v>Φυσιολογικός</v>
      </c>
    </row>
    <row r="4" spans="1:16">
      <c r="A4" s="47"/>
      <c r="B4" s="47"/>
      <c r="C4" s="47"/>
      <c r="D4" s="47"/>
      <c r="E4" s="47"/>
      <c r="F4" s="47"/>
      <c r="G4" s="39"/>
      <c r="H4" s="39"/>
      <c r="I4" s="39"/>
      <c r="K4">
        <v>11762</v>
      </c>
      <c r="L4" t="s">
        <v>77</v>
      </c>
      <c r="M4">
        <v>166</v>
      </c>
      <c r="N4">
        <v>299</v>
      </c>
      <c r="O4">
        <f t="shared" si="0"/>
        <v>55.518394648829428</v>
      </c>
      <c r="P4" t="str">
        <f t="shared" si="1"/>
        <v>Υψηλός</v>
      </c>
    </row>
    <row r="5" spans="1:16">
      <c r="A5" s="47"/>
      <c r="B5" s="47"/>
      <c r="C5" s="47"/>
      <c r="D5" s="47"/>
      <c r="E5" s="47"/>
      <c r="F5" s="47"/>
      <c r="G5" s="39"/>
      <c r="H5" s="39"/>
      <c r="I5" s="39"/>
      <c r="K5">
        <v>12106</v>
      </c>
      <c r="L5" t="s">
        <v>77</v>
      </c>
      <c r="M5">
        <v>65</v>
      </c>
      <c r="N5">
        <v>488</v>
      </c>
      <c r="O5">
        <f t="shared" si="0"/>
        <v>13.319672131147541</v>
      </c>
      <c r="P5" t="str">
        <f t="shared" si="1"/>
        <v>Χαμηλός</v>
      </c>
    </row>
    <row r="6" spans="1:16">
      <c r="A6" s="47"/>
      <c r="B6" s="47"/>
      <c r="C6" s="47"/>
      <c r="D6" s="47"/>
      <c r="E6" s="47"/>
      <c r="F6" s="47"/>
      <c r="G6" s="39"/>
      <c r="H6" s="39"/>
      <c r="I6" s="39"/>
      <c r="K6">
        <v>13130</v>
      </c>
      <c r="L6" t="s">
        <v>77</v>
      </c>
      <c r="M6">
        <v>54</v>
      </c>
      <c r="N6">
        <v>472</v>
      </c>
      <c r="O6">
        <f t="shared" si="0"/>
        <v>11.440677966101696</v>
      </c>
      <c r="P6" t="str">
        <f t="shared" si="1"/>
        <v>Χαμηλός</v>
      </c>
    </row>
    <row r="7" spans="1:16">
      <c r="A7" s="47"/>
      <c r="B7" s="47"/>
      <c r="C7" s="47"/>
      <c r="D7" s="47"/>
      <c r="E7" s="47"/>
      <c r="F7" s="47"/>
      <c r="G7" s="39"/>
      <c r="H7" s="39"/>
      <c r="I7" s="39"/>
      <c r="K7">
        <v>11968</v>
      </c>
      <c r="L7" t="s">
        <v>77</v>
      </c>
      <c r="M7">
        <v>120</v>
      </c>
      <c r="N7">
        <v>396</v>
      </c>
      <c r="O7">
        <f t="shared" si="0"/>
        <v>30.303030303030305</v>
      </c>
      <c r="P7" t="str">
        <f t="shared" si="1"/>
        <v>Φυσιολογικός</v>
      </c>
    </row>
    <row r="8" spans="1:16">
      <c r="A8" s="47"/>
      <c r="B8" s="47"/>
      <c r="C8" s="47"/>
      <c r="D8" s="47"/>
      <c r="E8" s="47"/>
      <c r="F8" s="47"/>
      <c r="G8" s="39"/>
      <c r="H8" s="39"/>
      <c r="I8" s="39"/>
      <c r="K8">
        <v>13335</v>
      </c>
      <c r="L8" t="s">
        <v>77</v>
      </c>
      <c r="M8">
        <v>153</v>
      </c>
      <c r="N8">
        <v>460</v>
      </c>
      <c r="O8">
        <f t="shared" si="0"/>
        <v>33.260869565217391</v>
      </c>
      <c r="P8" t="str">
        <f t="shared" si="1"/>
        <v>Φυσιολογικός</v>
      </c>
    </row>
    <row r="9" spans="1:16">
      <c r="A9" s="47"/>
      <c r="B9" s="47"/>
      <c r="C9" s="47"/>
      <c r="D9" s="47"/>
      <c r="E9" s="47"/>
      <c r="F9" s="47"/>
      <c r="G9" s="39"/>
      <c r="H9" s="39"/>
      <c r="I9" s="39"/>
      <c r="K9">
        <v>12099</v>
      </c>
      <c r="L9" t="s">
        <v>77</v>
      </c>
      <c r="M9">
        <v>31</v>
      </c>
      <c r="N9">
        <v>431</v>
      </c>
      <c r="O9">
        <f t="shared" si="0"/>
        <v>7.192575406032482</v>
      </c>
      <c r="P9" t="str">
        <f t="shared" si="1"/>
        <v>Χαμηλός</v>
      </c>
    </row>
    <row r="10" spans="1:16">
      <c r="A10" s="47"/>
      <c r="B10" s="47"/>
      <c r="C10" s="47"/>
      <c r="D10" s="47"/>
      <c r="E10" s="47"/>
      <c r="F10" s="47"/>
      <c r="G10" s="39"/>
      <c r="H10" s="39"/>
      <c r="I10" s="39"/>
      <c r="K10">
        <v>11715</v>
      </c>
      <c r="L10" t="s">
        <v>77</v>
      </c>
      <c r="M10">
        <v>116</v>
      </c>
      <c r="N10">
        <v>437</v>
      </c>
      <c r="O10">
        <f t="shared" si="0"/>
        <v>26.544622425629289</v>
      </c>
      <c r="P10" t="str">
        <f t="shared" si="1"/>
        <v>Φυσιολογικός</v>
      </c>
    </row>
    <row r="11" spans="1:16">
      <c r="A11" s="47"/>
      <c r="B11" s="47"/>
      <c r="C11" s="47"/>
      <c r="D11" s="47"/>
      <c r="E11" s="47"/>
      <c r="F11" s="47"/>
      <c r="G11" s="39"/>
      <c r="H11" s="39"/>
      <c r="I11" s="39"/>
      <c r="K11">
        <v>14513</v>
      </c>
      <c r="L11" t="s">
        <v>77</v>
      </c>
      <c r="M11">
        <v>152</v>
      </c>
      <c r="N11">
        <v>367</v>
      </c>
      <c r="O11">
        <f t="shared" si="0"/>
        <v>41.416893732970031</v>
      </c>
      <c r="P11" t="str">
        <f t="shared" si="1"/>
        <v>Φυσιολογικός</v>
      </c>
    </row>
    <row r="12" spans="1:16">
      <c r="A12" s="47"/>
      <c r="B12" s="47"/>
      <c r="C12" s="47"/>
      <c r="D12" s="47"/>
      <c r="E12" s="47"/>
      <c r="F12" s="47"/>
      <c r="G12" s="39"/>
      <c r="H12" s="39"/>
      <c r="I12" s="39"/>
      <c r="K12">
        <v>13025</v>
      </c>
      <c r="L12" t="s">
        <v>77</v>
      </c>
      <c r="M12">
        <v>152</v>
      </c>
      <c r="N12">
        <v>276</v>
      </c>
      <c r="O12">
        <f t="shared" si="0"/>
        <v>55.072463768115945</v>
      </c>
      <c r="P12" t="str">
        <f t="shared" si="1"/>
        <v>Υψηλός</v>
      </c>
    </row>
    <row r="13" spans="1:16">
      <c r="A13" s="47"/>
      <c r="B13" s="47"/>
      <c r="C13" s="47"/>
      <c r="D13" s="47"/>
      <c r="E13" s="47"/>
      <c r="F13" s="47"/>
      <c r="G13" s="39"/>
      <c r="H13" s="39"/>
      <c r="I13" s="39"/>
      <c r="K13">
        <v>14012</v>
      </c>
      <c r="L13" t="s">
        <v>77</v>
      </c>
      <c r="M13">
        <v>61</v>
      </c>
      <c r="N13">
        <v>484</v>
      </c>
      <c r="O13">
        <f t="shared" si="0"/>
        <v>12.603305785123966</v>
      </c>
      <c r="P13" t="str">
        <f t="shared" si="1"/>
        <v>Χαμηλός</v>
      </c>
    </row>
    <row r="14" spans="1:16">
      <c r="A14" s="47"/>
      <c r="B14" s="47"/>
      <c r="C14" s="47"/>
      <c r="D14" s="47"/>
      <c r="E14" s="47"/>
      <c r="F14" s="47"/>
      <c r="G14" s="39"/>
      <c r="H14" s="39"/>
      <c r="I14" s="39"/>
      <c r="K14">
        <v>13064</v>
      </c>
      <c r="L14" t="s">
        <v>77</v>
      </c>
      <c r="M14">
        <v>149</v>
      </c>
      <c r="N14">
        <v>406</v>
      </c>
      <c r="O14">
        <f t="shared" si="0"/>
        <v>36.699507389162562</v>
      </c>
      <c r="P14" t="str">
        <f t="shared" si="1"/>
        <v>Φυσιολογικός</v>
      </c>
    </row>
    <row r="15" spans="1:16">
      <c r="A15" s="47"/>
      <c r="B15" s="47"/>
      <c r="C15" s="47"/>
      <c r="D15" s="47"/>
      <c r="E15" s="47"/>
      <c r="F15" s="47"/>
      <c r="G15" s="39"/>
      <c r="H15" s="39"/>
      <c r="I15" s="39"/>
      <c r="K15">
        <v>12721</v>
      </c>
      <c r="L15" t="s">
        <v>77</v>
      </c>
      <c r="M15">
        <v>38</v>
      </c>
      <c r="N15">
        <v>457</v>
      </c>
      <c r="O15">
        <f t="shared" si="0"/>
        <v>8.3150984682713336</v>
      </c>
      <c r="P15" t="str">
        <f t="shared" si="1"/>
        <v>Χαμηλός</v>
      </c>
    </row>
    <row r="16" spans="1:16">
      <c r="A16" s="47"/>
      <c r="B16" s="47"/>
      <c r="C16" s="47"/>
      <c r="D16" s="47"/>
      <c r="E16" s="47"/>
      <c r="F16" s="47"/>
      <c r="G16" s="39"/>
      <c r="H16" s="39"/>
      <c r="I16" s="39"/>
      <c r="K16">
        <v>12022</v>
      </c>
      <c r="L16" t="s">
        <v>76</v>
      </c>
      <c r="M16">
        <v>76</v>
      </c>
      <c r="N16">
        <v>343</v>
      </c>
      <c r="O16">
        <f t="shared" si="0"/>
        <v>22.157434402332363</v>
      </c>
      <c r="P16" t="str">
        <f>IF(O16&gt;50,"Υψηλός",IF(O16&lt;18,"Χαμηλός","Φυσιολογικός"))</f>
        <v>Φυσιολογικός</v>
      </c>
    </row>
    <row r="17" spans="1:16">
      <c r="A17" s="47"/>
      <c r="B17" s="47"/>
      <c r="C17" s="47"/>
      <c r="D17" s="47"/>
      <c r="E17" s="47"/>
      <c r="F17" s="47"/>
      <c r="G17" s="39"/>
      <c r="H17" s="39"/>
      <c r="I17" s="39"/>
      <c r="K17">
        <v>10991</v>
      </c>
      <c r="L17" t="s">
        <v>76</v>
      </c>
      <c r="M17">
        <v>95</v>
      </c>
      <c r="N17">
        <v>330</v>
      </c>
      <c r="O17">
        <f t="shared" si="0"/>
        <v>28.787878787878789</v>
      </c>
      <c r="P17" t="str">
        <f t="shared" ref="P17:P42" si="2">IF(O17&gt;50,"Υψηλός",IF(O17&lt;18,"Χαμηλός","Φυσιολογικός"))</f>
        <v>Φυσιολογικός</v>
      </c>
    </row>
    <row r="18" spans="1:16">
      <c r="A18" s="47"/>
      <c r="B18" s="47"/>
      <c r="C18" s="47"/>
      <c r="D18" s="47"/>
      <c r="E18" s="47"/>
      <c r="F18" s="47"/>
      <c r="G18" s="39"/>
      <c r="H18" s="39"/>
      <c r="I18" s="39"/>
      <c r="K18">
        <v>10821</v>
      </c>
      <c r="L18" t="s">
        <v>76</v>
      </c>
      <c r="M18">
        <v>48</v>
      </c>
      <c r="N18">
        <v>374</v>
      </c>
      <c r="O18">
        <f t="shared" si="0"/>
        <v>12.834224598930483</v>
      </c>
      <c r="P18" t="str">
        <f t="shared" si="2"/>
        <v>Χαμηλός</v>
      </c>
    </row>
    <row r="19" spans="1:16">
      <c r="A19" s="39"/>
      <c r="B19" s="39"/>
      <c r="C19" s="39"/>
      <c r="D19" s="39"/>
      <c r="E19" s="39"/>
      <c r="F19" s="39"/>
      <c r="G19" s="39"/>
      <c r="H19" s="39"/>
      <c r="I19" s="39"/>
      <c r="K19">
        <v>13334</v>
      </c>
      <c r="L19" t="s">
        <v>76</v>
      </c>
      <c r="M19">
        <v>161</v>
      </c>
      <c r="N19">
        <v>294</v>
      </c>
      <c r="O19">
        <f t="shared" si="0"/>
        <v>54.761904761904766</v>
      </c>
      <c r="P19" t="str">
        <f t="shared" si="2"/>
        <v>Υψηλός</v>
      </c>
    </row>
    <row r="20" spans="1:16">
      <c r="K20">
        <v>12167</v>
      </c>
      <c r="L20" t="s">
        <v>76</v>
      </c>
      <c r="M20">
        <v>150</v>
      </c>
      <c r="N20">
        <v>496</v>
      </c>
      <c r="O20">
        <f t="shared" si="0"/>
        <v>30.241935483870968</v>
      </c>
      <c r="P20" t="str">
        <f t="shared" si="2"/>
        <v>Φυσιολογικός</v>
      </c>
    </row>
    <row r="21" spans="1:16">
      <c r="K21">
        <v>13738</v>
      </c>
      <c r="L21" t="s">
        <v>76</v>
      </c>
      <c r="M21">
        <v>160</v>
      </c>
      <c r="N21">
        <v>350</v>
      </c>
      <c r="O21">
        <f t="shared" si="0"/>
        <v>45.714285714285715</v>
      </c>
      <c r="P21" t="str">
        <f t="shared" si="2"/>
        <v>Φυσιολογικός</v>
      </c>
    </row>
    <row r="22" spans="1:16">
      <c r="B22" t="s">
        <v>78</v>
      </c>
      <c r="C22" s="41">
        <f>(COUNTIF(P2:P42,"Φυσιολογικός")/COUNT(K2:K42))*100</f>
        <v>65.853658536585371</v>
      </c>
      <c r="K22">
        <v>11480</v>
      </c>
      <c r="L22" t="s">
        <v>76</v>
      </c>
      <c r="M22">
        <v>108</v>
      </c>
      <c r="N22">
        <v>363</v>
      </c>
      <c r="O22">
        <f t="shared" si="0"/>
        <v>29.75206611570248</v>
      </c>
      <c r="P22" t="str">
        <f t="shared" si="2"/>
        <v>Φυσιολογικός</v>
      </c>
    </row>
    <row r="23" spans="1:16">
      <c r="C23" s="41"/>
      <c r="E23" s="26"/>
      <c r="K23">
        <v>12022</v>
      </c>
      <c r="L23" t="s">
        <v>76</v>
      </c>
      <c r="M23">
        <v>53</v>
      </c>
      <c r="N23">
        <v>368</v>
      </c>
      <c r="O23">
        <f t="shared" si="0"/>
        <v>14.402173913043478</v>
      </c>
      <c r="P23" t="str">
        <f t="shared" si="2"/>
        <v>Χαμηλός</v>
      </c>
    </row>
    <row r="24" spans="1:16">
      <c r="B24" t="s">
        <v>79</v>
      </c>
      <c r="C24" s="41">
        <f>(COUNTIF(P2:P42,"Υψηλός")/COUNT(K2:K42))*100</f>
        <v>7.3170731707317067</v>
      </c>
      <c r="E24" t="s">
        <v>80</v>
      </c>
      <c r="K24">
        <v>13527</v>
      </c>
      <c r="L24" t="s">
        <v>76</v>
      </c>
      <c r="M24">
        <v>99</v>
      </c>
      <c r="N24">
        <v>479</v>
      </c>
      <c r="O24">
        <f t="shared" si="0"/>
        <v>20.668058455114824</v>
      </c>
      <c r="P24" t="str">
        <f t="shared" si="2"/>
        <v>Φυσιολογικός</v>
      </c>
    </row>
    <row r="25" spans="1:16">
      <c r="C25" s="41"/>
      <c r="K25">
        <v>11919</v>
      </c>
      <c r="L25" t="s">
        <v>76</v>
      </c>
      <c r="M25">
        <v>96</v>
      </c>
      <c r="N25">
        <v>272</v>
      </c>
      <c r="O25">
        <f t="shared" si="0"/>
        <v>35.294117647058826</v>
      </c>
      <c r="P25" t="str">
        <f t="shared" si="2"/>
        <v>Φυσιολογικός</v>
      </c>
    </row>
    <row r="26" spans="1:16">
      <c r="B26" t="s">
        <v>81</v>
      </c>
      <c r="C26" s="41">
        <f>(COUNTIF(O2:P42,"Χαμηλός")/COUNT(K2:K42))*100</f>
        <v>26.829268292682929</v>
      </c>
      <c r="K26">
        <v>11008</v>
      </c>
      <c r="L26" t="s">
        <v>76</v>
      </c>
      <c r="M26">
        <v>45</v>
      </c>
      <c r="N26">
        <v>318</v>
      </c>
      <c r="O26">
        <f t="shared" si="0"/>
        <v>14.150943396226415</v>
      </c>
      <c r="P26" t="str">
        <f t="shared" si="2"/>
        <v>Χαμηλός</v>
      </c>
    </row>
    <row r="27" spans="1:16">
      <c r="K27">
        <v>13362</v>
      </c>
      <c r="L27" t="s">
        <v>76</v>
      </c>
      <c r="M27">
        <v>49</v>
      </c>
      <c r="N27">
        <v>316</v>
      </c>
      <c r="O27">
        <f t="shared" si="0"/>
        <v>15.50632911392405</v>
      </c>
      <c r="P27" t="str">
        <f t="shared" si="2"/>
        <v>Χαμηλός</v>
      </c>
    </row>
    <row r="28" spans="1:16">
      <c r="K28">
        <v>10972</v>
      </c>
      <c r="L28" t="s">
        <v>76</v>
      </c>
      <c r="M28">
        <v>112</v>
      </c>
      <c r="N28">
        <v>462</v>
      </c>
      <c r="O28">
        <f t="shared" si="0"/>
        <v>24.242424242424242</v>
      </c>
      <c r="P28" t="str">
        <f t="shared" si="2"/>
        <v>Φυσιολογικός</v>
      </c>
    </row>
    <row r="29" spans="1:16">
      <c r="C29" s="43" t="s">
        <v>82</v>
      </c>
      <c r="D29" s="43" t="s">
        <v>83</v>
      </c>
      <c r="E29" s="43" t="s">
        <v>84</v>
      </c>
      <c r="K29">
        <v>14032</v>
      </c>
      <c r="L29" t="s">
        <v>76</v>
      </c>
      <c r="M29">
        <v>36</v>
      </c>
      <c r="N29">
        <v>418</v>
      </c>
      <c r="O29">
        <f t="shared" si="0"/>
        <v>8.6124401913875595</v>
      </c>
      <c r="P29" t="str">
        <f t="shared" si="2"/>
        <v>Χαμηλός</v>
      </c>
    </row>
    <row r="30" spans="1:16">
      <c r="A30" s="42" t="s">
        <v>85</v>
      </c>
      <c r="B30" s="39" t="s">
        <v>27</v>
      </c>
      <c r="C30" s="7">
        <f>AVERAGE(M2:M42)</f>
        <v>100.60975609756098</v>
      </c>
      <c r="D30" s="7">
        <f>AVERAGE(M16:M42)</f>
        <v>99.074074074074076</v>
      </c>
      <c r="E30" s="7">
        <f>AVERAGE(M2:M15)</f>
        <v>103.57142857142857</v>
      </c>
      <c r="K30">
        <v>11591</v>
      </c>
      <c r="L30" t="s">
        <v>76</v>
      </c>
      <c r="M30">
        <v>65</v>
      </c>
      <c r="N30">
        <v>345</v>
      </c>
      <c r="O30">
        <f t="shared" si="0"/>
        <v>18.840579710144929</v>
      </c>
      <c r="P30" t="str">
        <f t="shared" si="2"/>
        <v>Φυσιολογικός</v>
      </c>
    </row>
    <row r="31" spans="1:16">
      <c r="A31" s="42"/>
      <c r="B31" s="39"/>
      <c r="C31" s="7"/>
      <c r="D31" s="7"/>
      <c r="E31" s="7"/>
      <c r="K31">
        <v>14277</v>
      </c>
      <c r="L31" t="s">
        <v>76</v>
      </c>
      <c r="M31">
        <v>126</v>
      </c>
      <c r="N31">
        <v>411</v>
      </c>
      <c r="O31">
        <f t="shared" si="0"/>
        <v>30.656934306569344</v>
      </c>
      <c r="P31" t="str">
        <f t="shared" si="2"/>
        <v>Φυσιολογικός</v>
      </c>
    </row>
    <row r="32" spans="1:16">
      <c r="A32" s="42"/>
      <c r="B32" s="39" t="s">
        <v>86</v>
      </c>
      <c r="C32" s="7">
        <f>STDEV(M2:M42)</f>
        <v>40.464724173519635</v>
      </c>
      <c r="D32" s="7">
        <f>STDEV(M16:M42)</f>
        <v>37.238241227085496</v>
      </c>
      <c r="E32" s="7">
        <f>STDEV(M2:M15)</f>
        <v>47.438566403482127</v>
      </c>
      <c r="K32">
        <v>12096</v>
      </c>
      <c r="L32" t="s">
        <v>76</v>
      </c>
      <c r="M32">
        <v>94</v>
      </c>
      <c r="N32">
        <v>335</v>
      </c>
      <c r="O32">
        <f t="shared" si="0"/>
        <v>28.059701492537314</v>
      </c>
      <c r="P32" t="str">
        <f t="shared" si="2"/>
        <v>Φυσιολογικός</v>
      </c>
    </row>
    <row r="33" spans="1:16">
      <c r="K33">
        <v>12812</v>
      </c>
      <c r="L33" t="s">
        <v>76</v>
      </c>
      <c r="M33">
        <v>90</v>
      </c>
      <c r="N33">
        <v>273</v>
      </c>
      <c r="O33">
        <f t="shared" si="0"/>
        <v>32.967032967032964</v>
      </c>
      <c r="P33" t="str">
        <f t="shared" si="2"/>
        <v>Φυσιολογικός</v>
      </c>
    </row>
    <row r="34" spans="1:16">
      <c r="C34" s="43" t="s">
        <v>82</v>
      </c>
      <c r="D34" s="43" t="s">
        <v>83</v>
      </c>
      <c r="E34" s="43" t="s">
        <v>84</v>
      </c>
      <c r="K34">
        <v>11488</v>
      </c>
      <c r="L34" t="s">
        <v>76</v>
      </c>
      <c r="M34">
        <v>88</v>
      </c>
      <c r="N34">
        <v>283</v>
      </c>
      <c r="O34">
        <f t="shared" si="0"/>
        <v>31.095406360424029</v>
      </c>
      <c r="P34" t="str">
        <f t="shared" si="2"/>
        <v>Φυσιολογικός</v>
      </c>
    </row>
    <row r="35" spans="1:16">
      <c r="A35" s="42" t="s">
        <v>87</v>
      </c>
      <c r="B35" s="39" t="s">
        <v>27</v>
      </c>
      <c r="C35" s="7">
        <f>AVERAGE(N2:N42)</f>
        <v>381</v>
      </c>
      <c r="D35" s="7">
        <f>AVERAGE(N16:N42)</f>
        <v>366.96296296296299</v>
      </c>
      <c r="E35" s="7">
        <f>AVERAGE(N2:N15)</f>
        <v>408.07142857142856</v>
      </c>
      <c r="K35">
        <v>13712</v>
      </c>
      <c r="L35" t="s">
        <v>76</v>
      </c>
      <c r="M35">
        <v>54</v>
      </c>
      <c r="N35">
        <v>389</v>
      </c>
      <c r="O35">
        <f t="shared" si="0"/>
        <v>13.881748071979436</v>
      </c>
      <c r="P35" t="str">
        <f t="shared" si="2"/>
        <v>Χαμηλός</v>
      </c>
    </row>
    <row r="36" spans="1:16">
      <c r="A36" s="42"/>
      <c r="B36" s="39"/>
      <c r="C36" s="7"/>
      <c r="E36" s="7"/>
      <c r="K36">
        <v>12858</v>
      </c>
      <c r="L36" t="s">
        <v>76</v>
      </c>
      <c r="M36">
        <v>110</v>
      </c>
      <c r="N36">
        <v>265</v>
      </c>
      <c r="O36">
        <f t="shared" si="0"/>
        <v>41.509433962264154</v>
      </c>
      <c r="P36" t="str">
        <f t="shared" si="2"/>
        <v>Φυσιολογικός</v>
      </c>
    </row>
    <row r="37" spans="1:16">
      <c r="A37" s="42"/>
      <c r="B37" s="39" t="s">
        <v>86</v>
      </c>
      <c r="C37" s="7">
        <f>SQRT(VAR(N2:N42))</f>
        <v>70.67036153862523</v>
      </c>
      <c r="D37" s="7">
        <f>SQRT(VAR(M16:M42))</f>
        <v>37.238241227085496</v>
      </c>
      <c r="E37" s="7">
        <f>SQRT(VAR(N2:N15))</f>
        <v>66.249486831933353</v>
      </c>
      <c r="K37">
        <v>11989</v>
      </c>
      <c r="L37" t="s">
        <v>76</v>
      </c>
      <c r="M37">
        <v>103</v>
      </c>
      <c r="N37">
        <v>416</v>
      </c>
      <c r="O37">
        <f t="shared" si="0"/>
        <v>24.759615384615387</v>
      </c>
      <c r="P37" t="str">
        <f t="shared" si="2"/>
        <v>Φυσιολογικός</v>
      </c>
    </row>
    <row r="38" spans="1:16">
      <c r="K38">
        <v>12639</v>
      </c>
      <c r="L38" t="s">
        <v>76</v>
      </c>
      <c r="M38">
        <v>128</v>
      </c>
      <c r="N38">
        <v>274</v>
      </c>
      <c r="O38">
        <f t="shared" si="0"/>
        <v>46.715328467153284</v>
      </c>
      <c r="P38" t="str">
        <f t="shared" si="2"/>
        <v>Φυσιολογικός</v>
      </c>
    </row>
    <row r="39" spans="1:16">
      <c r="C39" s="43" t="s">
        <v>82</v>
      </c>
      <c r="D39" s="43" t="s">
        <v>83</v>
      </c>
      <c r="E39" s="43" t="s">
        <v>84</v>
      </c>
      <c r="K39">
        <v>14606</v>
      </c>
      <c r="L39" t="s">
        <v>76</v>
      </c>
      <c r="M39">
        <v>146</v>
      </c>
      <c r="N39">
        <v>464</v>
      </c>
      <c r="O39">
        <f t="shared" si="0"/>
        <v>31.46551724137931</v>
      </c>
      <c r="P39" t="str">
        <f t="shared" si="2"/>
        <v>Φυσιολογικός</v>
      </c>
    </row>
    <row r="40" spans="1:16">
      <c r="A40" s="42" t="s">
        <v>74</v>
      </c>
      <c r="B40" s="39" t="s">
        <v>27</v>
      </c>
      <c r="C40" s="7">
        <f>SUM(O2:O42)/COUNT(O2:O42)</f>
        <v>27.633498427493834</v>
      </c>
      <c r="D40" s="7">
        <f>SUM(O16:O42)/COUNT(O16:O42)</f>
        <v>27.735180287685246</v>
      </c>
      <c r="E40" s="7">
        <f>SUM(O2:O15)/COUNT(O2:O15)</f>
        <v>27.437397697124652</v>
      </c>
      <c r="K40">
        <v>10980</v>
      </c>
      <c r="L40" t="s">
        <v>76</v>
      </c>
      <c r="M40">
        <v>155</v>
      </c>
      <c r="N40">
        <v>388</v>
      </c>
      <c r="O40">
        <f t="shared" si="0"/>
        <v>39.948453608247426</v>
      </c>
      <c r="P40" t="str">
        <f t="shared" si="2"/>
        <v>Φυσιολογικός</v>
      </c>
    </row>
    <row r="41" spans="1:16">
      <c r="A41" s="42"/>
      <c r="B41" s="39"/>
      <c r="C41" s="7"/>
      <c r="D41" s="7"/>
      <c r="E41" s="7"/>
      <c r="K41">
        <v>11899</v>
      </c>
      <c r="L41" t="s">
        <v>76</v>
      </c>
      <c r="M41">
        <v>120</v>
      </c>
      <c r="N41">
        <v>477</v>
      </c>
      <c r="O41">
        <f t="shared" si="0"/>
        <v>25.157232704402517</v>
      </c>
      <c r="P41" t="str">
        <f t="shared" si="2"/>
        <v>Φυσιολογικός</v>
      </c>
    </row>
    <row r="42" spans="1:16">
      <c r="A42" s="42"/>
      <c r="B42" s="39" t="s">
        <v>86</v>
      </c>
      <c r="C42" s="7">
        <f>VAR(O2:O42)^(1/2)</f>
        <v>12.970967484649373</v>
      </c>
      <c r="D42" s="7">
        <f>VAR(O16:O42)^(1/2)</f>
        <v>11.373283788897689</v>
      </c>
      <c r="E42" s="7">
        <f>VAR(O2:O15)^(1/2)</f>
        <v>16.090802859042455</v>
      </c>
      <c r="K42">
        <v>13208</v>
      </c>
      <c r="L42" t="s">
        <v>76</v>
      </c>
      <c r="M42">
        <v>108</v>
      </c>
      <c r="N42">
        <v>405</v>
      </c>
      <c r="O42">
        <f t="shared" si="0"/>
        <v>26.666666666666668</v>
      </c>
      <c r="P42" t="str">
        <f t="shared" si="2"/>
        <v>Φυσιολογικός</v>
      </c>
    </row>
  </sheetData>
  <sortState ref="K2:P42">
    <sortCondition ref="L2"/>
  </sortState>
  <mergeCells count="1">
    <mergeCell ref="A1:F1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J7"/>
  <sheetViews>
    <sheetView workbookViewId="0"/>
  </sheetViews>
  <sheetFormatPr defaultRowHeight="15"/>
  <sheetData>
    <row r="3" spans="2:10">
      <c r="B3" s="47"/>
      <c r="C3" s="47"/>
      <c r="D3" s="47"/>
      <c r="E3" s="47"/>
      <c r="F3" s="47"/>
      <c r="G3" s="47"/>
      <c r="H3" s="47"/>
      <c r="I3" s="47"/>
      <c r="J3" s="47"/>
    </row>
    <row r="4" spans="2:10">
      <c r="B4" s="47"/>
      <c r="C4" s="47"/>
      <c r="D4" s="47"/>
      <c r="E4" s="47"/>
      <c r="F4" s="47"/>
      <c r="G4" s="47"/>
      <c r="H4" s="47"/>
      <c r="I4" s="47"/>
      <c r="J4" s="47"/>
    </row>
    <row r="5" spans="2:10">
      <c r="B5" s="47"/>
      <c r="C5" s="47"/>
      <c r="D5" s="47"/>
      <c r="E5" s="47"/>
      <c r="F5" s="47"/>
      <c r="G5" s="47"/>
      <c r="H5" s="47"/>
      <c r="I5" s="47"/>
      <c r="J5" s="47"/>
    </row>
    <row r="6" spans="2:10">
      <c r="B6" s="47"/>
      <c r="C6" s="47"/>
      <c r="D6" s="47"/>
      <c r="E6" s="47"/>
      <c r="F6" s="47"/>
      <c r="G6" s="47"/>
      <c r="H6" s="47"/>
      <c r="I6" s="47"/>
      <c r="J6" s="47"/>
    </row>
    <row r="7" spans="2:10">
      <c r="B7" s="47"/>
      <c r="C7" s="47"/>
      <c r="D7" s="47"/>
      <c r="E7" s="47"/>
      <c r="F7" s="47"/>
      <c r="G7" s="47"/>
      <c r="H7" s="47"/>
      <c r="I7" s="47"/>
      <c r="J7" s="47"/>
    </row>
  </sheetData>
  <mergeCells count="1">
    <mergeCell ref="B3:J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7.2</vt:lpstr>
      <vt:lpstr>7.2-Power</vt:lpstr>
      <vt:lpstr>7.6-Συναρτήσεις</vt:lpstr>
      <vt:lpstr>7.6-Συναρτήσεις (Λεκτικά)</vt:lpstr>
      <vt:lpstr>7.7-Γραφήματα</vt:lpstr>
      <vt:lpstr>7.8.1</vt:lpstr>
      <vt:lpstr>7.8.2</vt:lpstr>
      <vt:lpstr>Ανακεφαλαιωτικό Παράδειγμα</vt:lpstr>
      <vt:lpstr>Περίληψη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</dc:creator>
  <cp:lastModifiedBy>Kokolakis</cp:lastModifiedBy>
  <dcterms:created xsi:type="dcterms:W3CDTF">2013-11-21T07:49:23Z</dcterms:created>
  <dcterms:modified xsi:type="dcterms:W3CDTF">2015-01-21T13:03:17Z</dcterms:modified>
</cp:coreProperties>
</file>